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<sst xmlns="http://schemas.openxmlformats.org/spreadsheetml/2006/main" count="38" uniqueCount="38">
  <si>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</si>
  <si>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</si>
  <si>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</si>
  <si>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</si>
  <si>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</si>
  <si>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</si>
  <si>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</si>
  <si>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</si>
  <si>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</si>
  <si>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</si>
  <si>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</si>
  <si>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</si>
  <si>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</si>
  <si>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</si>
  <si>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</si>
  <si>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</si>
  <si>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</si>
  <si>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</si>
  <si>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</si>
  <si>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</si>
  <si>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</si>
  <si>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</si>
  <si>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</si>
  <si>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</si>
  <si>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</si>
  <si>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</si>
  <si>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</si>
  <si>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</si>
  <si>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69605,00 - замена светильников (МОП).
1801,00 - ремонт системы ХВС с заменой трубы  (кв.89 стояк).
839,00 - демонтаж, прочистка, монтаж решетки (кв.33).</t>
  </si>
  <si>
    <t>16800,00 - ремонт стыков стеновых панелей (кв.25).
9000,00 - ремонт стыков стеновых панелей (кв.32).
1888,00 - устройство отлива (кв.33 торец).
7800,00 - ремонт стыков стеновых панелей (кв.49).
7800,00 - ремонт стыков стеновых панелей (кв.53).
9000,00 - ремонт стыков стеновых панелей (кв.64).
7500,00 - ремонт стыков стеновых панелей (кв.69).
7500,00 - ремонт стыков стеновых панелей (кв.72).</t>
  </si>
  <si>
    <t>2982,00 - ремонт трубопровода канализации (кв. 88 стояк).</t>
  </si>
  <si>
    <t>1431,00 - установка светильника (3 подъезд 6 этаж).
7771,00 - ремонт поэтажного электрощитка  со сменой автоматов, провода (3 подъезд 7 этаж).
130016,00 – замена окон ПВХ 1 подъезд.
122006,00 – замена окон ПВХ 2 подъезд.
1930,00 – дезинсекция.
10800,00 - ремонт стыков стеновых панелей (кв. 104).
12000,00 - ремонт стыков стеновых панелей (кв. 99).
18000,00 - ремонт стыков стеновых панелей (кв. 103).</t>
  </si>
  <si>
    <t>2470,00 - замена шаровых кранов д-25 мм (подвал теплоузел № 2).</t>
  </si>
  <si>
    <t>99942,30 - ремонт квартиры 94 (материалы).        9000,00 - ремонт стыков стеновых панелей (кв.91).                                                                            3900,00 - ремонт стыков стеновых панелей (кв.25).                                                                            3000,00 - ремонт стыков стеновых панелей (кв.33).                                                                              3900,00 - ремонт стыков стеновых панелей (кв.64).                                                                        5100,00 - ремонт стыков стеновых панелей (кв.17).</t>
  </si>
  <si>
    <t>5018,00 - ремонт поэтажного электрощитка с заменой автоматов, кабеля (3 подъезд 7 этаж).       2479,00 - установка светильника, выключателя, патрона, эл. провода (кв. 94 3 подъезд лестн. клетка).</t>
  </si>
  <si>
    <t xml:space="preserve">17518,00 - ремонт ВРУ с заменой плавкой вставки, держателя, наконечников, алюм. полосы.                                                                             4044,00 - ремонт трубопровода канализации (2 подъезд).                                                                          15600,00 - ремонт стыков стеновых панелей (кв.91).            </t>
  </si>
  <si>
    <t>Поступления денежных средств от аренды помещения за 2019,2020,2021 гг.</t>
  </si>
  <si>
    <t>Изготовление и установка ограждений полисадника под. 1 в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</si>
</sst>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2" fontId="42" fillId="0" borderId="11" xfId="0" applyNumberFormat="1" applyFont="1" applyBorder="1" applyAlignment="1">
      <alignment horizontal="left" wrapText="1"/>
    </xf>
    <xf numFmtId="2" fontId="42" fillId="0" borderId="11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22">
      <selection activeCell="H24" sqref="H2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1872</v>
      </c>
      <c r="B1" s="19"/>
      <c r="C1" s="19"/>
      <c r="D1" s="19"/>
      <c r="E1" s="19"/>
    </row>
    <row r="2" spans="1:5" ht="41.25" customHeight="1">
      <c r="A2" s="21" t="s">
        <v>26</v>
      </c>
      <c r="B2" s="22"/>
      <c r="C2" s="22"/>
      <c r="D2" s="22"/>
      <c r="E2" s="22"/>
    </row>
    <row r="3" spans="1:5" ht="36.75" customHeight="1">
      <c r="A3" s="20" t="str">
        <f>VLOOKUP(A1,'[1]2021'!$A$1:$AH$99,2,0)</f>
        <v>Магистральный проезд д.7</v>
      </c>
      <c r="B3" s="20"/>
      <c r="C3" s="20"/>
      <c r="D3" s="20"/>
      <c r="E3" s="20"/>
    </row>
    <row r="4" spans="1:5" ht="30.75" customHeight="1">
      <c r="A4" s="24" t="s">
        <v>20</v>
      </c>
      <c r="B4" s="24"/>
      <c r="C4" s="24"/>
      <c r="D4" s="24"/>
      <c r="E4" s="14" t="s">
        <v>18</v>
      </c>
    </row>
    <row r="5" spans="1:5" ht="15.75" customHeight="1">
      <c r="A5" s="25" t="s">
        <v>21</v>
      </c>
      <c r="B5" s="25"/>
      <c r="C5" s="25"/>
      <c r="D5" s="25"/>
      <c r="E5" s="15" t="s">
        <v>22</v>
      </c>
    </row>
    <row r="6" spans="1:5" ht="15" customHeight="1">
      <c r="A6" s="28" t="s">
        <v>17</v>
      </c>
      <c r="B6" s="28"/>
      <c r="C6" s="28"/>
      <c r="D6" s="28"/>
      <c r="E6" s="16">
        <f>VLOOKUP(A1,'[1]2021'!$A$1:$AH$101,3,0)</f>
        <v>5614</v>
      </c>
    </row>
    <row r="7" spans="1:5" ht="33" customHeight="1">
      <c r="A7" s="28" t="s">
        <v>27</v>
      </c>
      <c r="B7" s="28"/>
      <c r="C7" s="28"/>
      <c r="D7" s="28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6" t="s">
        <v>24</v>
      </c>
      <c r="B10" s="27"/>
      <c r="C10" s="27"/>
      <c r="D10" s="27"/>
      <c r="E10" s="18">
        <f>VLOOKUP(A1,'[1]2021'!$A$1:$AH$101,4,0)</f>
        <v>307085.04999999993</v>
      </c>
    </row>
    <row r="11" spans="1:5" ht="15.75">
      <c r="A11" s="3">
        <v>1</v>
      </c>
      <c r="B11" s="9" t="s">
        <v>4</v>
      </c>
      <c r="C11" s="5">
        <f>VLOOKUP(A1,'[1]2021'!$A$1:$AH$101,5,0)</f>
        <v>14250.07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15617.42</v>
      </c>
      <c r="D12" s="5">
        <f>VLOOKUP(A1,'[1]2021'!$A$1:$AH$101,19,0)</f>
        <v>0</v>
      </c>
      <c r="E12" s="7"/>
    </row>
    <row r="13" spans="1:5" ht="78.75">
      <c r="A13" s="3">
        <v>3</v>
      </c>
      <c r="B13" s="9" t="s">
        <v>6</v>
      </c>
      <c r="C13" s="5">
        <f>VLOOKUP(A1,'[1]2021'!$A$1:$AH$101,7,0)</f>
        <v>14298.77</v>
      </c>
      <c r="D13" s="5">
        <f>VLOOKUP(A1,'[1]2021'!$A$1:$AH$101,20,0)</f>
        <v>72245</v>
      </c>
      <c r="E13" s="7" t="s">
        <v>28</v>
      </c>
    </row>
    <row r="14" spans="1:5" ht="236.25">
      <c r="A14" s="3">
        <v>4</v>
      </c>
      <c r="B14" s="9" t="s">
        <v>7</v>
      </c>
      <c r="C14" s="5">
        <f>VLOOKUP(A1,'[1]2021'!$A$1:$AH$101,8,0)</f>
        <v>14212.06</v>
      </c>
      <c r="D14" s="5">
        <f>VLOOKUP(A1,'[1]2021'!$A$1:$AH$101,21,0)</f>
        <v>67288</v>
      </c>
      <c r="E14" s="7" t="s">
        <v>29</v>
      </c>
    </row>
    <row r="15" spans="1:5" ht="31.5">
      <c r="A15" s="3">
        <v>5</v>
      </c>
      <c r="B15" s="9" t="s">
        <v>8</v>
      </c>
      <c r="C15" s="5">
        <f>VLOOKUP(A1,'[1]2021'!$A$1:$AH$101,9,0)</f>
        <v>14726.86</v>
      </c>
      <c r="D15" s="5">
        <f>VLOOKUP(A1,'[1]2021'!$A$1:$AH$101,22,0)</f>
        <v>2982</v>
      </c>
      <c r="E15" s="7" t="s">
        <v>30</v>
      </c>
    </row>
    <row r="16" spans="1:5" ht="206.25" customHeight="1">
      <c r="A16" s="3">
        <v>6</v>
      </c>
      <c r="B16" s="9" t="s">
        <v>9</v>
      </c>
      <c r="C16" s="5">
        <f>VLOOKUP(A1,'[1]2021'!$A$1:$AH$101,10,0)</f>
        <v>17406.85</v>
      </c>
      <c r="D16" s="5">
        <f>VLOOKUP(A1,'[1]2021'!$A$1:$AH$101,23,0)</f>
        <v>303954</v>
      </c>
      <c r="E16" s="7" t="s">
        <v>31</v>
      </c>
    </row>
    <row r="17" spans="1:5" ht="15.75">
      <c r="A17" s="3">
        <v>7</v>
      </c>
      <c r="B17" s="9" t="s">
        <v>10</v>
      </c>
      <c r="C17" s="5">
        <f>VLOOKUP(A1,'[1]2021'!$A$1:$AH$101,11,0)</f>
        <v>15131.52</v>
      </c>
      <c r="D17" s="5">
        <f>VLOOKUP(A1,'[1]2021'!$A$1:$AH$101,24,0)</f>
        <v>0</v>
      </c>
      <c r="E17" s="7"/>
    </row>
    <row r="18" spans="1:5" ht="31.5">
      <c r="A18" s="3">
        <v>8</v>
      </c>
      <c r="B18" s="9" t="s">
        <v>11</v>
      </c>
      <c r="C18" s="5">
        <f>VLOOKUP(A1,'[1]2021'!$A$1:$AH$101,12,0)</f>
        <v>14382.83</v>
      </c>
      <c r="D18" s="5">
        <f>VLOOKUP(A1,'[1]2021'!$A$1:$AH$102,25,0)</f>
        <v>2470</v>
      </c>
      <c r="E18" s="7" t="s">
        <v>32</v>
      </c>
    </row>
    <row r="19" spans="1:5" ht="173.25">
      <c r="A19" s="3">
        <v>9</v>
      </c>
      <c r="B19" s="9" t="s">
        <v>12</v>
      </c>
      <c r="C19" s="5">
        <f>VLOOKUP(A1,'[1]2021'!$A$1:$AH$101,13,0)</f>
        <v>16566.53</v>
      </c>
      <c r="D19" s="5">
        <f>VLOOKUP(A1,'[1]2021'!$A$1:$AH$101,26,0)</f>
        <v>124842.3</v>
      </c>
      <c r="E19" s="7" t="s">
        <v>33</v>
      </c>
    </row>
    <row r="20" spans="1:5" ht="15.75">
      <c r="A20" s="3">
        <v>10</v>
      </c>
      <c r="B20" s="9" t="s">
        <v>13</v>
      </c>
      <c r="C20" s="5">
        <f>VLOOKUP(A1,'[1]2021'!$A$1:$AH$101,14,0)</f>
        <v>15929.380000000001</v>
      </c>
      <c r="D20" s="5">
        <f>VLOOKUP(A1,'[1]2021'!$A$1:$AH$101,27,0)</f>
        <v>0</v>
      </c>
      <c r="E20" s="7"/>
    </row>
    <row r="21" spans="1:5" ht="78.75">
      <c r="A21" s="3">
        <v>11</v>
      </c>
      <c r="B21" s="9" t="s">
        <v>14</v>
      </c>
      <c r="C21" s="5">
        <f>VLOOKUP(A1,'[1]2021'!$A$1:$AH$101,15,0)</f>
        <v>15423.73</v>
      </c>
      <c r="D21" s="5">
        <f>VLOOKUP(A1,'[1]2021'!$A$1:$AH$101,28,0)</f>
        <v>7497</v>
      </c>
      <c r="E21" s="7" t="s">
        <v>34</v>
      </c>
    </row>
    <row r="22" spans="1:5" ht="110.25">
      <c r="A22" s="3">
        <v>12</v>
      </c>
      <c r="B22" s="9" t="s">
        <v>15</v>
      </c>
      <c r="C22" s="5">
        <f>VLOOKUP(A1,'[1]2021'!$A$1:$AH$101,16,0)</f>
        <v>18317.850000000002</v>
      </c>
      <c r="D22" s="5">
        <f>VLOOKUP(A1,'[1]2021'!$A$1:$AH$101,29,0)</f>
        <v>37162</v>
      </c>
      <c r="E22" s="7" t="s">
        <v>35</v>
      </c>
    </row>
    <row r="23" spans="1:5" ht="67.5" customHeight="1">
      <c r="A23" s="31" t="s">
        <v>36</v>
      </c>
      <c r="B23" s="32"/>
      <c r="C23" s="5">
        <v>180000</v>
      </c>
      <c r="D23" s="5"/>
      <c r="E23" s="7"/>
    </row>
    <row r="24" spans="1:5" ht="69" customHeight="1">
      <c r="A24" s="31" t="s">
        <v>37</v>
      </c>
      <c r="B24" s="32"/>
      <c r="C24" s="5"/>
      <c r="D24" s="5">
        <v>18750</v>
      </c>
      <c r="E24" s="7"/>
    </row>
    <row r="25" spans="1:5" ht="15.75">
      <c r="A25" s="29" t="s">
        <v>16</v>
      </c>
      <c r="B25" s="30"/>
      <c r="C25" s="6">
        <f>SUM(C11:C24)</f>
        <v>366263.87</v>
      </c>
      <c r="D25" s="6">
        <f>SUM(D11:D24)</f>
        <v>637190.3</v>
      </c>
      <c r="E25" s="8"/>
    </row>
    <row r="26" spans="1:5" ht="15.75">
      <c r="A26" s="26" t="s">
        <v>25</v>
      </c>
      <c r="B26" s="27"/>
      <c r="C26" s="27"/>
      <c r="D26" s="27"/>
      <c r="E26" s="13">
        <f>E10+C25-D25</f>
        <v>36158.61999999988</v>
      </c>
    </row>
    <row r="30" spans="1:5" ht="18.75">
      <c r="A30" s="23" t="s">
        <v>19</v>
      </c>
      <c r="B30" s="23"/>
      <c r="C30" s="23"/>
      <c r="D30" s="23"/>
      <c r="E30" s="23"/>
    </row>
    <row r="31" spans="1:5" ht="18.75">
      <c r="A31" s="4"/>
      <c r="B31" s="4"/>
      <c r="C31" s="4"/>
      <c r="D31" s="4"/>
      <c r="E31" s="4"/>
    </row>
    <row r="32" spans="1:5" ht="18.75">
      <c r="A32" s="4"/>
      <c r="B32" s="4"/>
      <c r="C32" s="4"/>
      <c r="D32" s="4"/>
      <c r="E32" s="4"/>
    </row>
    <row r="33" spans="1:5" ht="18.75">
      <c r="A33" s="23"/>
      <c r="B33" s="23"/>
      <c r="C33" s="23"/>
      <c r="D33" s="23"/>
      <c r="E33" s="23"/>
    </row>
  </sheetData>
  <sheetProtection/>
  <mergeCells count="14">
    <mergeCell ref="A33:E33"/>
    <mergeCell ref="A10:D10"/>
    <mergeCell ref="A26:D26"/>
    <mergeCell ref="A6:D6"/>
    <mergeCell ref="A25:B25"/>
    <mergeCell ref="A7:D7"/>
    <mergeCell ref="A23:B23"/>
    <mergeCell ref="A24:B24"/>
    <mergeCell ref="B1:E1"/>
    <mergeCell ref="A3:E3"/>
    <mergeCell ref="A2:E2"/>
    <mergeCell ref="A30:E30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2022-03-14T07:50:53Z</dcterms:modified>
  <cp:category/>
  <cp:version/>
  <cp:contentType/>
  <cp:contentStatus/>
</cp:coreProperties>
</file>