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<sst xmlns="http://schemas.openxmlformats.org/spreadsheetml/2006/main" count="36" uniqueCount="36">
  <si>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</si>
  <si>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</si>
  <si>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</si>
  <si>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</si>
  <si>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</si>
  <si>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</si>
  <si>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</si>
  <si>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</si>
  <si>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</si>
  <si>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</si>
  <si>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</si>
  <si>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</si>
  <si>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</si>
  <si>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</si>
  <si>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</si>
  <si>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</si>
  <si>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</si>
  <si>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</si>
  <si>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</si>
  <si>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</si>
  <si>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</si>
  <si>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</si>
  <si>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</si>
  <si>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</si>
  <si>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</si>
  <si>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</si>
  <si>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</si>
  <si>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333,00 - замена участка трубопровода канализации (ливневка) - 2 под.                      1438,00 - установка светильников у входа в подъезд.                                                            20162,00 - ремонт поэтажных элщитов 5,8,10 этажи 1ого подъезда.</t>
  </si>
  <si>
    <t>10920,00 - ремонт стыков стеновых панелей кв. 64.</t>
  </si>
  <si>
    <t>3613,00 - ремонт стояков ХВС, ГВС кв. 1, 5.</t>
  </si>
  <si>
    <t>4284,00 - ремонт трубопровода ХВС кв. 10, 14.</t>
  </si>
  <si>
    <t>2461,00 - ремонт трубопровода ХВС кв. 70-73 (стояк).</t>
  </si>
  <si>
    <t>7604,00 - замена шарового крана ф50 в тепловом узле 1 подъезда.</t>
  </si>
  <si>
    <t>562,00 - замена крана ГВС (3 подъезд).                 1176,00 - ремонт трубопровода ХВС (кв. 89).</t>
  </si>
  <si>
    <t>43680,00 - ремонт межпанельных стыков кв. 9, 13, 17, 21, 25, 29, 38.                                   2098,20 - дезинсекция.</t>
  </si>
  <si>
    <t>73693,00 - ремонт кровли кв. 118, 119, 39, 40.                                                                                       34788,00 - ремонт стыков стеновых панелей кв. 103.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</si>
</sst>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9">
      <selection activeCell="E22" sqref="E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1426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24</v>
      </c>
      <c r="B3" s="22"/>
      <c r="C3" s="22"/>
      <c r="D3" s="22"/>
      <c r="E3" s="22"/>
    </row>
    <row r="4" spans="1:5" ht="18.75" customHeight="1">
      <c r="A4" s="23" t="s">
        <v>25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Магистральный проезд д.24Б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7277.9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20159.783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VLOOKUP(A1,'[2]2020'!$A$1:$AH$101,4,0)</f>
        <v>47189.350000000326</v>
      </c>
    </row>
    <row r="12" spans="1:5" ht="94.5">
      <c r="A12" s="3">
        <v>1</v>
      </c>
      <c r="B12" s="12" t="s">
        <v>4</v>
      </c>
      <c r="C12" s="8">
        <f>VLOOKUP(A1,'[2]2020'!$A$1:$AH$101,5,0)</f>
        <v>16487.8</v>
      </c>
      <c r="D12" s="8">
        <f>VLOOKUP(A1,'[2]2020'!$A$1:$AH$101,18,0)</f>
        <v>21933</v>
      </c>
      <c r="E12" s="10" t="s">
        <v>27</v>
      </c>
    </row>
    <row r="13" spans="1:5" ht="33" customHeight="1">
      <c r="A13" s="3">
        <v>2</v>
      </c>
      <c r="B13" s="12" t="s">
        <v>5</v>
      </c>
      <c r="C13" s="8">
        <f>VLOOKUP(A1,'[2]2020'!$A$1:$AH$101,6,0)</f>
        <v>21037.59</v>
      </c>
      <c r="D13" s="8">
        <f>VLOOKUP(A1,'[2]2020'!$A$1:$AH$101,19,0)</f>
        <v>10920</v>
      </c>
      <c r="E13" s="10" t="s">
        <v>28</v>
      </c>
    </row>
    <row r="14" spans="1:5" ht="34.5" customHeight="1">
      <c r="A14" s="3">
        <v>3</v>
      </c>
      <c r="B14" s="12" t="s">
        <v>6</v>
      </c>
      <c r="C14" s="8">
        <f>VLOOKUP(A1,'[2]2020'!$A$1:$AH$101,7,0)</f>
        <v>19787.81</v>
      </c>
      <c r="D14" s="8">
        <f>VLOOKUP(A1,'[2]2020'!$A$1:$AH$101,20,0)</f>
        <v>3613</v>
      </c>
      <c r="E14" s="10" t="s">
        <v>29</v>
      </c>
    </row>
    <row r="15" spans="1:5" ht="47.25">
      <c r="A15" s="3">
        <v>4</v>
      </c>
      <c r="B15" s="12" t="s">
        <v>7</v>
      </c>
      <c r="C15" s="8">
        <f>VLOOKUP(A1,'[2]2020'!$A$1:$AH$101,8,0)</f>
        <v>17629.25</v>
      </c>
      <c r="D15" s="8">
        <f>VLOOKUP(A1,'[2]2020'!$A$1:$AH$101,21,0)</f>
        <v>1738</v>
      </c>
      <c r="E15" s="10" t="s">
        <v>33</v>
      </c>
    </row>
    <row r="16" spans="1:5" ht="31.5">
      <c r="A16" s="3">
        <v>5</v>
      </c>
      <c r="B16" s="12" t="s">
        <v>8</v>
      </c>
      <c r="C16" s="8">
        <f>VLOOKUP(A1,'[2]2020'!$A$1:$AH$101,9,0)</f>
        <v>22261.58</v>
      </c>
      <c r="D16" s="8">
        <f>VLOOKUP(A1,'[2]2020'!$A$1:$AH$101,22,0)</f>
        <v>4284</v>
      </c>
      <c r="E16" s="10" t="s">
        <v>30</v>
      </c>
    </row>
    <row r="17" spans="1:5" ht="31.5">
      <c r="A17" s="3">
        <v>6</v>
      </c>
      <c r="B17" s="12" t="s">
        <v>9</v>
      </c>
      <c r="C17" s="8">
        <f>VLOOKUP(A1,'[2]2020'!$A$1:$AH$101,10,0)</f>
        <v>15651.86</v>
      </c>
      <c r="D17" s="8">
        <f>VLOOKUP(A1,'[2]2020'!$A$1:$AH$101,23,0)</f>
        <v>2461</v>
      </c>
      <c r="E17" s="10" t="s">
        <v>31</v>
      </c>
    </row>
    <row r="18" spans="1:5" ht="15.75">
      <c r="A18" s="3">
        <v>7</v>
      </c>
      <c r="B18" s="4" t="s">
        <v>10</v>
      </c>
      <c r="C18" s="8">
        <f>VLOOKUP(A1,'[2]2020'!$A$1:$AH$101,11,0)</f>
        <v>18405.56</v>
      </c>
      <c r="D18" s="8">
        <f>VLOOKUP(A1,'[2]2020'!$A$1:$AH$101,24,0)</f>
        <v>0</v>
      </c>
      <c r="E18" s="10"/>
    </row>
    <row r="19" spans="1:5" ht="31.5">
      <c r="A19" s="3">
        <v>8</v>
      </c>
      <c r="B19" s="4" t="s">
        <v>11</v>
      </c>
      <c r="C19" s="8">
        <f>VLOOKUP(A1,'[2]2020'!$A$1:$AH$101,12,0)</f>
        <v>21766.58</v>
      </c>
      <c r="D19" s="8">
        <f>VLOOKUP(A1,'[2]2020'!$A$1:$AH$102,25,0)</f>
        <v>7604</v>
      </c>
      <c r="E19" s="10" t="s">
        <v>32</v>
      </c>
    </row>
    <row r="20" spans="1:5" ht="15.75">
      <c r="A20" s="3">
        <v>9</v>
      </c>
      <c r="B20" s="4" t="s">
        <v>12</v>
      </c>
      <c r="C20" s="8">
        <f>VLOOKUP(A1,'[2]2020'!$A$1:$AH$101,13,0)</f>
        <v>18665.36</v>
      </c>
      <c r="D20" s="8">
        <f>VLOOKUP(A1,'[2]2020'!$A$1:$AH$101,26,0)</f>
        <v>0</v>
      </c>
      <c r="E20" s="10"/>
    </row>
    <row r="21" spans="1:5" ht="47.25">
      <c r="A21" s="3">
        <v>10</v>
      </c>
      <c r="B21" s="12" t="s">
        <v>13</v>
      </c>
      <c r="C21" s="8">
        <f>VLOOKUP(A1,'[2]2020'!$A$1:$AH$101,14,0)</f>
        <v>18131.64</v>
      </c>
      <c r="D21" s="8">
        <f>VLOOKUP(A1,'[2]2020'!$A$1:$AH$101,27,0)</f>
        <v>89458.2</v>
      </c>
      <c r="E21" s="10" t="s">
        <v>34</v>
      </c>
    </row>
    <row r="22" spans="1:5" ht="64.5" customHeight="1">
      <c r="A22" s="3">
        <v>11</v>
      </c>
      <c r="B22" s="12" t="s">
        <v>14</v>
      </c>
      <c r="C22" s="8">
        <f>VLOOKUP(A1,'[2]2020'!$A$1:$AH$101,15,0)</f>
        <v>20704.68</v>
      </c>
      <c r="D22" s="8">
        <f>VLOOKUP(A1,'[2]2020'!$A$1:$AH$101,28,0)</f>
        <v>108481</v>
      </c>
      <c r="E22" s="10" t="s">
        <v>35</v>
      </c>
    </row>
    <row r="23" spans="1:5" ht="31.5" customHeight="1">
      <c r="A23" s="3">
        <v>12</v>
      </c>
      <c r="B23" s="12" t="s">
        <v>15</v>
      </c>
      <c r="C23" s="8">
        <f>VLOOKUP(A1,'[2]2020'!$A$1:$AH$101,16,0)</f>
        <v>30071.600000000002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240601.31000000003</v>
      </c>
      <c r="D24" s="9">
        <f>SUM(D12:D23)</f>
        <v>250492.2</v>
      </c>
      <c r="E24" s="11"/>
    </row>
    <row r="25" spans="1:5" ht="15.75">
      <c r="A25" s="26" t="s">
        <v>26</v>
      </c>
      <c r="B25" s="27"/>
      <c r="C25" s="27"/>
      <c r="D25" s="27"/>
      <c r="E25" s="17">
        <f>E11+C24-D24</f>
        <v>37298.46000000037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2021-02-26T07:51:43Z</dcterms:modified>
  <cp:category/>
  <cp:version/>
  <cp:contentType/>
  <cp:contentStatus/>
</cp:coreProperties>
</file>