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<sst xmlns="http://schemas.openxmlformats.org/spreadsheetml/2006/main" count="33" uniqueCount="33">
  <si>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</si>
  <si>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</si>
  <si>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</si>
  <si>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</si>
  <si>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</si>
  <si>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</si>
  <si>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</si>
  <si>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</si>
  <si>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</si>
  <si>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</si>
  <si>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</si>
  <si>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</si>
  <si>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</si>
  <si>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</si>
  <si>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</si>
  <si>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</si>
  <si>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</si>
  <si>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</si>
  <si>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</si>
  <si>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</si>
  <si>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</si>
  <si>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</si>
  <si>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</si>
  <si>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</si>
  <si>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</si>
  <si>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</si>
  <si>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</si>
  <si>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2128,00 - ремонт трубопровода канализации в кв. 30.</t>
  </si>
  <si>
    <t xml:space="preserve">1788,00 - монтаж перемычки отопления кв. 11. </t>
  </si>
  <si>
    <t>832,00 - замена крана ГВС (обратка) кв. 38.</t>
  </si>
  <si>
    <t>8000,00 - дезинфекция подвальных помещений от насекомых (4 подъезда).</t>
  </si>
  <si>
    <t>6186,00 - ремонт кровли кв. 30.                                    24449,00 - замена счетчиков ГВС на узле учета.</t>
  </si>
  <si>
    <t>22500,00 - утепление стен кв. 30.                    1612,00 - дезинсекция.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</si>
</sst>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9404</v>
          </cell>
          <cell r="AA4">
            <v>8923</v>
          </cell>
          <cell r="AC4">
            <v>2105</v>
          </cell>
          <cell r="AD4">
            <v>36678</v>
          </cell>
          <cell r="AE4">
            <v>269417.49000000005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11587.8</v>
          </cell>
          <cell r="AA16">
            <v>8234</v>
          </cell>
          <cell r="AB16">
            <v>31783</v>
          </cell>
          <cell r="AC16">
            <v>2798</v>
          </cell>
          <cell r="AD16">
            <v>90754.8</v>
          </cell>
          <cell r="AE16">
            <v>121158.58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24112</v>
          </cell>
          <cell r="AA17">
            <v>30635</v>
          </cell>
          <cell r="AD17">
            <v>67495</v>
          </cell>
          <cell r="AE17">
            <v>176562.41000000015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D20" sqref="D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617</v>
      </c>
      <c r="B1" s="17"/>
      <c r="C1" s="17"/>
      <c r="D1" s="17"/>
      <c r="E1" s="17"/>
    </row>
    <row r="2" spans="1:5" ht="24.75" customHeight="1">
      <c r="A2" s="19" t="s">
        <v>20</v>
      </c>
      <c r="B2" s="19"/>
      <c r="C2" s="19"/>
      <c r="D2" s="19"/>
      <c r="E2" s="19"/>
    </row>
    <row r="3" spans="1:5" ht="41.25" customHeight="1">
      <c r="A3" s="20" t="s">
        <v>24</v>
      </c>
      <c r="B3" s="21"/>
      <c r="C3" s="21"/>
      <c r="D3" s="21"/>
      <c r="E3" s="21"/>
    </row>
    <row r="4" spans="1:5" ht="18.75" customHeight="1">
      <c r="A4" s="22" t="s">
        <v>25</v>
      </c>
      <c r="B4" s="23"/>
      <c r="C4" s="23"/>
      <c r="D4" s="23"/>
      <c r="E4" s="23"/>
    </row>
    <row r="5" spans="1:5" ht="30.75" customHeight="1">
      <c r="A5" s="18" t="str">
        <f>VLOOKUP(A1,'[1]2019'!$A$1:$AH$99,2,0)</f>
        <v>Магистральный проезд д.23</v>
      </c>
      <c r="B5" s="18"/>
      <c r="C5" s="18"/>
      <c r="D5" s="18"/>
      <c r="E5" s="18"/>
    </row>
    <row r="6" spans="1:5" ht="15.75" customHeight="1">
      <c r="A6" s="27" t="s">
        <v>17</v>
      </c>
      <c r="B6" s="27"/>
      <c r="C6" s="27"/>
      <c r="D6" s="27"/>
      <c r="E6" s="4">
        <f>VLOOKUP(A1,'[1]2019'!$A$1:$AH$101,3,0)</f>
        <v>2790.6</v>
      </c>
    </row>
    <row r="7" spans="1:5" ht="15" customHeight="1">
      <c r="A7" s="27" t="s">
        <v>18</v>
      </c>
      <c r="B7" s="27"/>
      <c r="C7" s="27"/>
      <c r="D7" s="27"/>
      <c r="E7" s="4">
        <v>2.77</v>
      </c>
    </row>
    <row r="8" spans="1:5" ht="33" customHeight="1">
      <c r="A8" s="27" t="s">
        <v>19</v>
      </c>
      <c r="B8" s="27"/>
      <c r="C8" s="27"/>
      <c r="D8" s="27"/>
      <c r="E8" s="14">
        <f>E7*E6</f>
        <v>7729.9619999999995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5" t="s">
        <v>22</v>
      </c>
      <c r="B11" s="26"/>
      <c r="C11" s="26"/>
      <c r="D11" s="26"/>
      <c r="E11" s="5">
        <f>VLOOKUP(A1,'[2]2020'!$A$1:$AH$101,4,0)</f>
        <v>156169.20000000013</v>
      </c>
    </row>
    <row r="12" spans="1:5" ht="31.5">
      <c r="A12" s="3">
        <v>1</v>
      </c>
      <c r="B12" s="11" t="s">
        <v>4</v>
      </c>
      <c r="C12" s="7">
        <f>VLOOKUP(A1,'[2]2020'!$A$1:$AH$101,5,0)</f>
        <v>6877.83</v>
      </c>
      <c r="D12" s="7">
        <f>VLOOKUP(A1,'[2]2020'!$A$1:$AH$101,18,0)</f>
        <v>2128</v>
      </c>
      <c r="E12" s="9" t="s">
        <v>27</v>
      </c>
    </row>
    <row r="13" spans="1:5" ht="33" customHeight="1">
      <c r="A13" s="3">
        <v>2</v>
      </c>
      <c r="B13" s="11" t="s">
        <v>5</v>
      </c>
      <c r="C13" s="7">
        <f>VLOOKUP(A1,'[2]2020'!$A$1:$AH$101,6,0)</f>
        <v>7655.18</v>
      </c>
      <c r="D13" s="7">
        <f>VLOOKUP(A1,'[2]2020'!$A$1:$AH$101,19,0)</f>
        <v>1788</v>
      </c>
      <c r="E13" s="9" t="s">
        <v>28</v>
      </c>
    </row>
    <row r="14" spans="1:5" ht="15" customHeight="1">
      <c r="A14" s="3">
        <v>3</v>
      </c>
      <c r="B14" s="11" t="s">
        <v>6</v>
      </c>
      <c r="C14" s="7">
        <f>VLOOKUP(A1,'[2]2020'!$A$1:$AH$101,7,0)</f>
        <v>7783.83</v>
      </c>
      <c r="D14" s="7">
        <f>VLOOKUP(A1,'[2]2020'!$A$1:$AH$101,20,0)</f>
        <v>0</v>
      </c>
      <c r="E14" s="9"/>
    </row>
    <row r="15" spans="1:5" ht="31.5">
      <c r="A15" s="3">
        <v>4</v>
      </c>
      <c r="B15" s="11" t="s">
        <v>7</v>
      </c>
      <c r="C15" s="7">
        <f>VLOOKUP(A1,'[2]2020'!$A$1:$AH$101,8,0)</f>
        <v>6775.35</v>
      </c>
      <c r="D15" s="7">
        <f>VLOOKUP(A1,'[2]2020'!$A$1:$AH$101,21,0)</f>
        <v>832</v>
      </c>
      <c r="E15" s="9" t="s">
        <v>29</v>
      </c>
    </row>
    <row r="16" spans="1:5" ht="15.75">
      <c r="A16" s="3">
        <v>5</v>
      </c>
      <c r="B16" s="11" t="s">
        <v>8</v>
      </c>
      <c r="C16" s="7">
        <f>VLOOKUP(A1,'[2]2020'!$A$1:$AH$101,9,0)</f>
        <v>8860.11</v>
      </c>
      <c r="D16" s="7">
        <f>VLOOKUP(A1,'[2]2020'!$A$1:$AH$101,22,0)</f>
        <v>0</v>
      </c>
      <c r="E16" s="9"/>
    </row>
    <row r="17" spans="1:5" ht="15.75">
      <c r="A17" s="3">
        <v>6</v>
      </c>
      <c r="B17" s="11" t="s">
        <v>9</v>
      </c>
      <c r="C17" s="7">
        <f>VLOOKUP(A1,'[2]2020'!$A$1:$AH$101,10,0)</f>
        <v>5941.78</v>
      </c>
      <c r="D17" s="7">
        <f>VLOOKUP(A1,'[2]2020'!$A$1:$AH$101,23,0)</f>
        <v>0</v>
      </c>
      <c r="E17" s="9"/>
    </row>
    <row r="18" spans="1:5" ht="31.5">
      <c r="A18" s="3">
        <v>7</v>
      </c>
      <c r="B18" s="11" t="s">
        <v>10</v>
      </c>
      <c r="C18" s="7">
        <f>VLOOKUP(A1,'[2]2020'!$A$1:$AH$101,11,0)</f>
        <v>7923.43</v>
      </c>
      <c r="D18" s="7">
        <f>VLOOKUP(A1,'[2]2020'!$A$1:$AH$101,24,0)</f>
        <v>8000</v>
      </c>
      <c r="E18" s="9" t="s">
        <v>30</v>
      </c>
    </row>
    <row r="19" spans="1:5" ht="31.5">
      <c r="A19" s="3">
        <v>8</v>
      </c>
      <c r="B19" s="11" t="s">
        <v>11</v>
      </c>
      <c r="C19" s="7">
        <f>VLOOKUP(A1,'[2]2020'!$A$1:$AH$101,12,0)</f>
        <v>6686.46</v>
      </c>
      <c r="D19" s="7">
        <f>VLOOKUP(A1,'[2]2020'!$A$1:$AH$102,25,0)</f>
        <v>24112</v>
      </c>
      <c r="E19" s="9" t="s">
        <v>32</v>
      </c>
    </row>
    <row r="20" spans="1:5" ht="15.75">
      <c r="A20" s="3">
        <v>9</v>
      </c>
      <c r="B20" s="11" t="s">
        <v>12</v>
      </c>
      <c r="C20" s="7">
        <f>VLOOKUP(A1,'[2]2020'!$A$1:$AH$101,13,0)</f>
        <v>7267.67</v>
      </c>
      <c r="D20" s="7">
        <f>VLOOKUP(A1,'[2]2020'!$A$1:$AH$101,26,0)</f>
        <v>0</v>
      </c>
      <c r="E20" s="9"/>
    </row>
    <row r="21" spans="1:5" ht="47.25">
      <c r="A21" s="3">
        <v>10</v>
      </c>
      <c r="B21" s="11" t="s">
        <v>13</v>
      </c>
      <c r="C21" s="7">
        <f>VLOOKUP(A1,'[2]2020'!$A$1:$AH$101,14,0)</f>
        <v>6963.17</v>
      </c>
      <c r="D21" s="7">
        <f>VLOOKUP(A1,'[2]2020'!$A$1:$AH$101,27,0)</f>
        <v>30635</v>
      </c>
      <c r="E21" s="9" t="s">
        <v>31</v>
      </c>
    </row>
    <row r="22" spans="1:5" ht="15.75" customHeight="1">
      <c r="A22" s="3">
        <v>11</v>
      </c>
      <c r="B22" s="11" t="s">
        <v>14</v>
      </c>
      <c r="C22" s="7">
        <f>VLOOKUP(A1,'[2]2020'!$A$1:$AH$101,15,0)</f>
        <v>7397.41</v>
      </c>
      <c r="D22" s="7">
        <f>VLOOKUP(A1,'[2]2020'!$A$1:$AH$101,28,0)</f>
        <v>0</v>
      </c>
      <c r="E22" s="9"/>
    </row>
    <row r="23" spans="1:5" ht="17.25" customHeight="1">
      <c r="A23" s="3">
        <v>12</v>
      </c>
      <c r="B23" s="11" t="s">
        <v>15</v>
      </c>
      <c r="C23" s="7">
        <f>VLOOKUP(A1,'[2]2020'!$A$1:$AH$101,16,0)</f>
        <v>7755.99</v>
      </c>
      <c r="D23" s="7">
        <f>VLOOKUP(A1,'[2]2020'!$A$1:$AH$101,29,0)</f>
        <v>0</v>
      </c>
      <c r="E23" s="9"/>
    </row>
    <row r="24" spans="1:5" ht="15.75">
      <c r="A24" s="28" t="s">
        <v>16</v>
      </c>
      <c r="B24" s="29"/>
      <c r="C24" s="8">
        <f>SUM(C12:C23)</f>
        <v>87888.21</v>
      </c>
      <c r="D24" s="8">
        <f>SUM(D12:D23)</f>
        <v>67495</v>
      </c>
      <c r="E24" s="10"/>
    </row>
    <row r="25" spans="1:5" ht="15.75">
      <c r="A25" s="25" t="s">
        <v>26</v>
      </c>
      <c r="B25" s="26"/>
      <c r="C25" s="26"/>
      <c r="D25" s="26"/>
      <c r="E25" s="16">
        <f>E11+C24-D24</f>
        <v>176562.41000000015</v>
      </c>
    </row>
    <row r="29" spans="1:5" ht="18.75">
      <c r="A29" s="24" t="s">
        <v>21</v>
      </c>
      <c r="B29" s="24"/>
      <c r="C29" s="24"/>
      <c r="D29" s="24"/>
      <c r="E29" s="24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4"/>
      <c r="B32" s="24"/>
      <c r="C32" s="24"/>
      <c r="D32" s="24"/>
      <c r="E32" s="24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2021-02-26T07:26:12Z</dcterms:modified>
  <cp:category/>
  <cp:version/>
  <cp:contentType/>
  <cp:contentStatus/>
</cp:coreProperties>
</file>